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980" windowHeight="756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calcPr calcId="125725" refMode="R1C1"/>
</workbook>
</file>

<file path=xl/calcChain.xml><?xml version="1.0" encoding="utf-8"?>
<calcChain xmlns="http://schemas.openxmlformats.org/spreadsheetml/2006/main">
  <c r="D49" i="1"/>
  <c r="D48"/>
  <c r="D45"/>
  <c r="D44"/>
  <c r="D51"/>
  <c r="D50"/>
  <c r="D47"/>
  <c r="D46"/>
  <c r="D42"/>
  <c r="D41"/>
  <c r="D34"/>
  <c r="D35" s="1"/>
  <c r="D52" s="1"/>
  <c r="D36"/>
  <c r="D31"/>
  <c r="D27"/>
  <c r="D26"/>
  <c r="D28" s="1"/>
  <c r="D21"/>
  <c r="D20"/>
  <c r="D18"/>
  <c r="D17" l="1"/>
  <c r="G13"/>
  <c r="E12"/>
  <c r="G11"/>
  <c r="G12" l="1"/>
</calcChain>
</file>

<file path=xl/sharedStrings.xml><?xml version="1.0" encoding="utf-8"?>
<sst xmlns="http://schemas.openxmlformats.org/spreadsheetml/2006/main" count="91" uniqueCount="72">
  <si>
    <t>zona clim.</t>
  </si>
  <si>
    <t>GG</t>
  </si>
  <si>
    <t>INVOLUCRO EDILIZIO RAPPORTO DI FORMA</t>
  </si>
  <si>
    <t>S/V</t>
  </si>
  <si>
    <t>Superficie</t>
  </si>
  <si>
    <t>m2</t>
  </si>
  <si>
    <t>Volume</t>
  </si>
  <si>
    <t>m3</t>
  </si>
  <si>
    <r>
      <t>kWh/m</t>
    </r>
    <r>
      <rPr>
        <vertAlign val="superscript"/>
        <sz val="16"/>
        <rFont val="Arial Narrow"/>
        <family val="2"/>
      </rPr>
      <t>2</t>
    </r>
    <r>
      <rPr>
        <sz val="16"/>
        <color theme="1"/>
        <rFont val="Arial Narrow"/>
        <family val="2"/>
      </rPr>
      <t>a</t>
    </r>
  </si>
  <si>
    <t>giorni di riscaldamento</t>
  </si>
  <si>
    <t>gg</t>
  </si>
  <si>
    <t>ore riscaldamento giornaliero</t>
  </si>
  <si>
    <t>ore</t>
  </si>
  <si>
    <t>Wh/m3</t>
  </si>
  <si>
    <t>Classe energetica edificio</t>
  </si>
  <si>
    <t>CL.</t>
  </si>
  <si>
    <t>B</t>
  </si>
  <si>
    <t>Richiesta termica</t>
  </si>
  <si>
    <t>Dispersione termica EP</t>
  </si>
  <si>
    <t>Richiesta termica complessiva riscaldamento</t>
  </si>
  <si>
    <t>kWh</t>
  </si>
  <si>
    <t>kWh/m3 a</t>
  </si>
  <si>
    <t>dispersione termica coplessiva</t>
  </si>
  <si>
    <t>kWh/m2 a x m2 a</t>
  </si>
  <si>
    <t>°C</t>
  </si>
  <si>
    <t>Temperatura impianto radiante mandata</t>
  </si>
  <si>
    <t>Temperatura impianto radiante ritorno</t>
  </si>
  <si>
    <t>L/h</t>
  </si>
  <si>
    <t>Riello</t>
  </si>
  <si>
    <t>Portata termica nel primario</t>
  </si>
  <si>
    <t>Salto termico nel primario</t>
  </si>
  <si>
    <r>
      <rPr>
        <sz val="16"/>
        <color theme="1"/>
        <rFont val="Calibri"/>
        <family val="2"/>
      </rPr>
      <t xml:space="preserve">∆T </t>
    </r>
    <r>
      <rPr>
        <sz val="16"/>
        <color theme="1"/>
        <rFont val="Arial Narrow"/>
        <family val="2"/>
      </rPr>
      <t>°C</t>
    </r>
  </si>
  <si>
    <t>Salto termico nel secondario</t>
  </si>
  <si>
    <t>Portata termica nel secondario</t>
  </si>
  <si>
    <t>m</t>
  </si>
  <si>
    <t>Superficie ai piani</t>
  </si>
  <si>
    <t>Ipotesi altezza ambienti</t>
  </si>
  <si>
    <t>Passo radiante</t>
  </si>
  <si>
    <t>mm</t>
  </si>
  <si>
    <t xml:space="preserve">Tubazione nel radiante D 17x2 </t>
  </si>
  <si>
    <t>Contenuto acqua impianto</t>
  </si>
  <si>
    <t>L</t>
  </si>
  <si>
    <t>sviluppo tubazione impianto</t>
  </si>
  <si>
    <t>Richiesta acqua impianto</t>
  </si>
  <si>
    <t>Preventivazione dimensionamento impianto</t>
  </si>
  <si>
    <t>Caldaia tipo</t>
  </si>
  <si>
    <t>Potenza caldaia</t>
  </si>
  <si>
    <t>RIIELLO CONDEXA PRO  115</t>
  </si>
  <si>
    <t>kW</t>
  </si>
  <si>
    <t>Portata termica</t>
  </si>
  <si>
    <t>Diametro tubazioni (manda e ritorno)</t>
  </si>
  <si>
    <t>Caldaie</t>
  </si>
  <si>
    <t>n°</t>
  </si>
  <si>
    <t>Portata termica complessiva</t>
  </si>
  <si>
    <t>Diametro attacco al secondario</t>
  </si>
  <si>
    <t>Diametro collettore secondario</t>
  </si>
  <si>
    <t>Diametro  corpo separatore idraulico</t>
  </si>
  <si>
    <t>m3/h</t>
  </si>
  <si>
    <t>1"1/4</t>
  </si>
  <si>
    <t>2"</t>
  </si>
  <si>
    <t xml:space="preserve">    Portata gas Metano</t>
  </si>
  <si>
    <t xml:space="preserve">    Tubazione gas alla caldaia</t>
  </si>
  <si>
    <t xml:space="preserve">    Portata complessiva gas Metano</t>
  </si>
  <si>
    <t xml:space="preserve">    Diametro collettore gas Metano alle caldaie </t>
  </si>
  <si>
    <t>Vaso d'espansione nel secondario</t>
  </si>
  <si>
    <t xml:space="preserve"> 2 x 125</t>
  </si>
  <si>
    <t>EIDIFICIO SCOLASTICO</t>
  </si>
  <si>
    <t>RISTRUTTURAZIONE E AMPLIAMENTO CT</t>
  </si>
  <si>
    <t>gruppo energetico gas Metano</t>
  </si>
  <si>
    <t>Località</t>
  </si>
  <si>
    <t>Xxxxxxx</t>
  </si>
  <si>
    <t>Fa.2412.2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</si>
</sst>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6"/>
      <color indexed="12"/>
      <name val="Arial Narrow"/>
      <family val="2"/>
    </font>
    <font>
      <vertAlign val="superscript"/>
      <sz val="16"/>
      <name val="Arial Narrow"/>
      <family val="2"/>
    </font>
    <font>
      <sz val="16"/>
      <color theme="1"/>
      <name val="Calibri"/>
      <family val="2"/>
    </font>
    <font>
      <sz val="18"/>
      <color rgb="FF0070C0"/>
      <name val="Arial Black"/>
      <family val="2"/>
    </font>
    <font>
      <b/>
      <i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4" fillId="5" borderId="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165" fontId="4" fillId="5" borderId="0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5" xfId="0" applyFont="1" applyBorder="1"/>
    <xf numFmtId="0" fontId="1" fillId="3" borderId="16" xfId="0" applyFont="1" applyFill="1" applyBorder="1" applyAlignment="1">
      <alignment horizontal="center" vertical="center"/>
    </xf>
    <xf numFmtId="0" fontId="1" fillId="0" borderId="17" xfId="0" applyFont="1" applyBorder="1"/>
    <xf numFmtId="0" fontId="2" fillId="0" borderId="0" xfId="0" applyFont="1"/>
    <xf numFmtId="0" fontId="1" fillId="6" borderId="0" xfId="0" applyFont="1" applyFill="1"/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6" xfId="0" applyFont="1" applyBorder="1"/>
    <xf numFmtId="0" fontId="0" fillId="0" borderId="16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3" xfId="0" applyFont="1" applyFill="1" applyBorder="1"/>
    <xf numFmtId="0" fontId="1" fillId="0" borderId="15" xfId="0" applyFont="1" applyFill="1" applyBorder="1"/>
    <xf numFmtId="0" fontId="1" fillId="0" borderId="20" xfId="0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2" fontId="1" fillId="2" borderId="20" xfId="0" applyNumberFormat="1" applyFont="1" applyFill="1" applyBorder="1" applyAlignment="1" applyProtection="1">
      <alignment horizontal="center"/>
      <protection hidden="1"/>
    </xf>
    <xf numFmtId="1" fontId="1" fillId="2" borderId="21" xfId="0" applyNumberFormat="1" applyFont="1" applyFill="1" applyBorder="1" applyAlignment="1" applyProtection="1">
      <alignment horizontal="center"/>
      <protection hidden="1"/>
    </xf>
    <xf numFmtId="0" fontId="1" fillId="3" borderId="20" xfId="0" applyFont="1" applyFill="1" applyBorder="1" applyAlignment="1" applyProtection="1">
      <alignment horizontal="center"/>
      <protection locked="0" hidden="1"/>
    </xf>
    <xf numFmtId="0" fontId="1" fillId="3" borderId="19" xfId="0" applyFont="1" applyFill="1" applyBorder="1" applyAlignment="1" applyProtection="1">
      <alignment horizontal="center"/>
      <protection locked="0" hidden="1"/>
    </xf>
    <xf numFmtId="0" fontId="1" fillId="3" borderId="3" xfId="0" applyFont="1" applyFill="1" applyBorder="1" applyProtection="1">
      <protection locked="0" hidden="1"/>
    </xf>
    <xf numFmtId="0" fontId="1" fillId="3" borderId="16" xfId="0" applyFont="1" applyFill="1" applyBorder="1" applyAlignment="1" applyProtection="1">
      <alignment horizontal="center" vertical="center"/>
      <protection locked="0" hidden="1"/>
    </xf>
    <xf numFmtId="0" fontId="1" fillId="3" borderId="18" xfId="0" applyFont="1" applyFill="1" applyBorder="1" applyAlignment="1" applyProtection="1">
      <alignment horizontal="center" vertical="center"/>
      <protection locked="0"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2" fontId="1" fillId="2" borderId="18" xfId="0" applyNumberFormat="1" applyFont="1" applyFill="1" applyBorder="1" applyAlignment="1" applyProtection="1">
      <alignment horizontal="center" vertical="center"/>
      <protection hidden="1"/>
    </xf>
    <xf numFmtId="2" fontId="1" fillId="3" borderId="16" xfId="0" applyNumberFormat="1" applyFont="1" applyFill="1" applyBorder="1" applyAlignment="1" applyProtection="1">
      <alignment horizontal="center" vertical="center"/>
      <protection locked="0" hidden="1"/>
    </xf>
    <xf numFmtId="2" fontId="1" fillId="2" borderId="16" xfId="0" applyNumberFormat="1" applyFont="1" applyFill="1" applyBorder="1" applyAlignment="1" applyProtection="1">
      <alignment horizontal="center" vertical="center"/>
      <protection hidden="1"/>
    </xf>
    <xf numFmtId="2" fontId="1" fillId="3" borderId="14" xfId="0" applyNumberFormat="1" applyFont="1" applyFill="1" applyBorder="1" applyAlignment="1" applyProtection="1">
      <alignment horizontal="center" vertical="center"/>
      <protection locked="0" hidden="1"/>
    </xf>
    <xf numFmtId="1" fontId="1" fillId="2" borderId="16" xfId="0" applyNumberFormat="1" applyFont="1" applyFill="1" applyBorder="1" applyAlignment="1" applyProtection="1">
      <alignment horizontal="center" vertical="center"/>
      <protection hidden="1"/>
    </xf>
    <xf numFmtId="1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locked="0" hidden="1"/>
    </xf>
    <xf numFmtId="0" fontId="1" fillId="3" borderId="22" xfId="0" applyFont="1" applyFill="1" applyBorder="1" applyAlignment="1" applyProtection="1">
      <alignment horizontal="center" vertical="center"/>
      <protection locked="0" hidden="1"/>
    </xf>
    <xf numFmtId="164" fontId="1" fillId="2" borderId="16" xfId="0" applyNumberFormat="1" applyFont="1" applyFill="1" applyBorder="1" applyAlignment="1" applyProtection="1">
      <alignment horizontal="center" vertical="center"/>
      <protection hidden="1"/>
    </xf>
    <xf numFmtId="164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7" borderId="19" xfId="0" applyFont="1" applyFill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8</xdr:row>
      <xdr:rowOff>82550</xdr:rowOff>
    </xdr:from>
    <xdr:to>
      <xdr:col>4</xdr:col>
      <xdr:colOff>501650</xdr:colOff>
      <xdr:row>8</xdr:row>
      <xdr:rowOff>82550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464175" y="11874500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4</xdr:col>
      <xdr:colOff>266700</xdr:colOff>
      <xdr:row>15</xdr:row>
      <xdr:rowOff>247650</xdr:rowOff>
    </xdr:from>
    <xdr:to>
      <xdr:col>8</xdr:col>
      <xdr:colOff>200025</xdr:colOff>
      <xdr:row>19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4675" y="3629025"/>
          <a:ext cx="3352800" cy="895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358774</xdr:colOff>
      <xdr:row>52</xdr:row>
      <xdr:rowOff>114648</xdr:rowOff>
    </xdr:from>
    <xdr:to>
      <xdr:col>7</xdr:col>
      <xdr:colOff>454025</xdr:colOff>
      <xdr:row>76</xdr:row>
      <xdr:rowOff>118055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3279" t="8015" r="48988" b="31679"/>
        <a:stretch>
          <a:fillRect/>
        </a:stretch>
      </xdr:blipFill>
      <xdr:spPr bwMode="auto">
        <a:xfrm>
          <a:off x="962024" y="12925773"/>
          <a:ext cx="8747126" cy="501990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600075</xdr:colOff>
      <xdr:row>0</xdr:row>
      <xdr:rowOff>66675</xdr:rowOff>
    </xdr:from>
    <xdr:to>
      <xdr:col>2</xdr:col>
      <xdr:colOff>85725</xdr:colOff>
      <xdr:row>4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" y="66675"/>
          <a:ext cx="374332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9"/>
  <sheetViews>
    <sheetView tabSelected="1" view="pageLayout" topLeftCell="D1" zoomScaleNormal="100" workbookViewId="0">
      <selection activeCell="D8" sqref="D8"/>
    </sheetView>
  </sheetViews>
  <sheetFormatPr defaultRowHeight="15"/>
  <cols>
    <col min="2" max="2" width="54.7109375" customWidth="1"/>
    <col min="3" max="3" width="24.140625" customWidth="1"/>
    <col min="4" max="4" width="11.85546875" customWidth="1"/>
    <col min="5" max="5" width="13" customWidth="1"/>
    <col min="6" max="6" width="13.42578125" customWidth="1"/>
    <col min="7" max="7" width="12.5703125" customWidth="1"/>
    <col min="8" max="8" width="12.28515625" customWidth="1"/>
  </cols>
  <sheetData>
    <row r="1" spans="2:8">
      <c r="H1" t="s">
        <v>71</v>
      </c>
    </row>
    <row r="3" spans="2:8" ht="27">
      <c r="C3" s="69" t="s">
        <v>66</v>
      </c>
      <c r="D3" s="69"/>
      <c r="E3" s="69"/>
      <c r="F3" s="69"/>
      <c r="G3" s="69"/>
      <c r="H3" s="69"/>
    </row>
    <row r="4" spans="2:8" ht="27">
      <c r="C4" s="69" t="s">
        <v>67</v>
      </c>
      <c r="D4" s="69"/>
      <c r="E4" s="69"/>
      <c r="F4" s="69"/>
      <c r="G4" s="69"/>
      <c r="H4" s="69"/>
    </row>
    <row r="5" spans="2:8" ht="27">
      <c r="C5" s="70" t="s">
        <v>68</v>
      </c>
      <c r="D5" s="69"/>
      <c r="E5" s="69"/>
      <c r="F5" s="69"/>
      <c r="G5" s="69"/>
      <c r="H5" s="69"/>
    </row>
    <row r="7" spans="2:8" ht="15.75" thickBot="1"/>
    <row r="8" spans="2:8" ht="20.25">
      <c r="B8" s="21"/>
      <c r="C8" s="25" t="s">
        <v>69</v>
      </c>
      <c r="D8" s="71" t="s">
        <v>70</v>
      </c>
      <c r="E8" s="17" t="s">
        <v>0</v>
      </c>
      <c r="F8" s="2"/>
      <c r="G8" s="2"/>
      <c r="H8" s="3"/>
    </row>
    <row r="9" spans="2:8" ht="20.25">
      <c r="B9" s="22"/>
      <c r="C9" s="26"/>
      <c r="D9" s="72"/>
      <c r="E9" s="18" t="s">
        <v>1</v>
      </c>
      <c r="F9" s="4">
        <v>901</v>
      </c>
      <c r="G9" s="73">
        <v>1164</v>
      </c>
      <c r="H9" s="5">
        <v>1400</v>
      </c>
    </row>
    <row r="10" spans="2:8" ht="23.25">
      <c r="B10" s="22" t="s">
        <v>2</v>
      </c>
      <c r="C10" s="26"/>
      <c r="D10" s="72"/>
      <c r="E10" s="19" t="s">
        <v>3</v>
      </c>
      <c r="F10" s="6" t="s">
        <v>8</v>
      </c>
      <c r="G10" s="6" t="s">
        <v>8</v>
      </c>
      <c r="H10" s="7" t="s">
        <v>8</v>
      </c>
    </row>
    <row r="11" spans="2:8" ht="20.25">
      <c r="B11" s="23" t="s">
        <v>4</v>
      </c>
      <c r="C11" s="27" t="s">
        <v>5</v>
      </c>
      <c r="D11" s="68">
        <v>22796</v>
      </c>
      <c r="E11" s="8">
        <v>0.2</v>
      </c>
      <c r="F11" s="8">
        <v>12.8</v>
      </c>
      <c r="G11" s="9">
        <f>IF(G9=0,0,((G9-F9)*(H11-F11)/(H9-F9))+F11)</f>
        <v>17.27995991983968</v>
      </c>
      <c r="H11" s="10">
        <v>21.3</v>
      </c>
    </row>
    <row r="12" spans="2:8" ht="20.25">
      <c r="B12" s="23" t="s">
        <v>6</v>
      </c>
      <c r="C12" s="27" t="s">
        <v>7</v>
      </c>
      <c r="D12" s="68">
        <v>42556</v>
      </c>
      <c r="E12" s="20">
        <f>IF(D12=0,0,(D11/D12))</f>
        <v>0.53567064573738132</v>
      </c>
      <c r="F12" s="8"/>
      <c r="G12" s="11">
        <f>IF(G11=0,0,((G13-G11)*(E12-E11)/(E13-E11))+G11)</f>
        <v>37.065884987920597</v>
      </c>
      <c r="H12" s="10"/>
    </row>
    <row r="13" spans="2:8" ht="21" thickBot="1">
      <c r="B13" s="24"/>
      <c r="C13" s="28"/>
      <c r="D13" s="29"/>
      <c r="E13" s="12">
        <v>0.9</v>
      </c>
      <c r="F13" s="12">
        <v>48</v>
      </c>
      <c r="G13" s="13">
        <f>IF(G9=0,0,(((G9-F9)*(H13-F13)/(H9-F9)))+F13)</f>
        <v>58.541082164328657</v>
      </c>
      <c r="H13" s="14">
        <v>68</v>
      </c>
    </row>
    <row r="14" spans="2:8">
      <c r="D14" s="15"/>
      <c r="E14" s="15"/>
      <c r="F14" s="15"/>
      <c r="G14" s="15"/>
      <c r="H14" s="15"/>
    </row>
    <row r="15" spans="2:8" ht="20.25">
      <c r="B15" s="30" t="s">
        <v>9</v>
      </c>
      <c r="C15" s="25" t="s">
        <v>10</v>
      </c>
      <c r="D15" s="67">
        <v>183</v>
      </c>
      <c r="E15" s="16"/>
      <c r="F15" s="16"/>
      <c r="G15" s="16"/>
      <c r="H15" s="16"/>
    </row>
    <row r="16" spans="2:8" ht="20.25">
      <c r="B16" s="31" t="s">
        <v>11</v>
      </c>
      <c r="C16" s="26" t="s">
        <v>12</v>
      </c>
      <c r="D16" s="55">
        <v>10</v>
      </c>
      <c r="E16" s="16"/>
      <c r="F16" s="16"/>
      <c r="G16" s="16"/>
      <c r="H16" s="16"/>
    </row>
    <row r="17" spans="2:8" ht="20.25">
      <c r="B17" s="31" t="s">
        <v>22</v>
      </c>
      <c r="C17" s="26" t="s">
        <v>23</v>
      </c>
      <c r="D17" s="55">
        <f>G12*D11</f>
        <v>844953.91418463795</v>
      </c>
      <c r="E17" s="16"/>
      <c r="F17" s="16"/>
      <c r="G17" s="16"/>
      <c r="H17" s="16"/>
    </row>
    <row r="18" spans="2:8" ht="20.25">
      <c r="B18" s="31" t="s">
        <v>18</v>
      </c>
      <c r="C18" s="26" t="s">
        <v>21</v>
      </c>
      <c r="D18" s="65">
        <f>D17/D12</f>
        <v>19.855106546306935</v>
      </c>
      <c r="E18" s="16"/>
      <c r="F18" s="16"/>
      <c r="G18" s="16"/>
      <c r="H18" s="16"/>
    </row>
    <row r="19" spans="2:8" ht="20.25">
      <c r="B19" s="31" t="s">
        <v>14</v>
      </c>
      <c r="C19" s="26" t="s">
        <v>15</v>
      </c>
      <c r="D19" s="53" t="s">
        <v>16</v>
      </c>
      <c r="E19" s="16"/>
      <c r="F19" s="16"/>
      <c r="G19" s="16"/>
      <c r="H19" s="16"/>
    </row>
    <row r="20" spans="2:8" ht="20.25">
      <c r="B20" s="31" t="s">
        <v>17</v>
      </c>
      <c r="C20" s="26" t="s">
        <v>13</v>
      </c>
      <c r="D20" s="65">
        <f>D18*1.1*1000/(D15*10)</f>
        <v>11.934763497780125</v>
      </c>
      <c r="E20" s="16"/>
      <c r="F20" s="16"/>
      <c r="G20" s="16"/>
      <c r="H20" s="16"/>
    </row>
    <row r="21" spans="2:8" ht="20.25">
      <c r="B21" s="33" t="s">
        <v>19</v>
      </c>
      <c r="C21" s="36" t="s">
        <v>20</v>
      </c>
      <c r="D21" s="66">
        <f>((D20*D12/1000)*0.7)/0.8</f>
        <v>444.40882098508962</v>
      </c>
      <c r="E21" s="64">
        <v>448</v>
      </c>
      <c r="F21" s="64" t="s">
        <v>28</v>
      </c>
      <c r="G21" s="16"/>
      <c r="H21" s="16"/>
    </row>
    <row r="22" spans="2:8" ht="20.25">
      <c r="B22" s="1"/>
      <c r="C22" s="1"/>
      <c r="D22" s="16"/>
      <c r="E22" s="16"/>
      <c r="F22" s="16"/>
      <c r="G22" s="16"/>
      <c r="H22" s="16"/>
    </row>
    <row r="23" spans="2:8" ht="20.25">
      <c r="B23" s="43" t="s">
        <v>25</v>
      </c>
      <c r="C23" s="25" t="s">
        <v>24</v>
      </c>
      <c r="D23" s="63">
        <v>37</v>
      </c>
      <c r="E23" s="16"/>
      <c r="F23" s="16"/>
      <c r="G23" s="16"/>
      <c r="H23" s="16"/>
    </row>
    <row r="24" spans="2:8" ht="20.25">
      <c r="B24" s="44" t="s">
        <v>26</v>
      </c>
      <c r="C24" s="26" t="s">
        <v>24</v>
      </c>
      <c r="D24" s="53">
        <v>32</v>
      </c>
      <c r="E24" s="16"/>
      <c r="F24" s="16"/>
      <c r="G24" s="16"/>
      <c r="H24" s="16"/>
    </row>
    <row r="25" spans="2:8" ht="21">
      <c r="B25" s="44" t="s">
        <v>30</v>
      </c>
      <c r="C25" s="26" t="s">
        <v>31</v>
      </c>
      <c r="D25" s="55">
        <v>25</v>
      </c>
      <c r="E25" s="16"/>
      <c r="F25" s="16"/>
      <c r="G25" s="16"/>
      <c r="H25" s="16"/>
    </row>
    <row r="26" spans="2:8" ht="20.25">
      <c r="B26" s="31" t="s">
        <v>29</v>
      </c>
      <c r="C26" s="45" t="s">
        <v>27</v>
      </c>
      <c r="D26" s="61">
        <f>E21*1000*0.826/25</f>
        <v>14801.92</v>
      </c>
      <c r="E26" s="16"/>
      <c r="F26" s="16"/>
      <c r="G26" s="16"/>
      <c r="H26" s="16"/>
    </row>
    <row r="27" spans="2:8" ht="21">
      <c r="B27" s="31" t="s">
        <v>32</v>
      </c>
      <c r="C27" s="26" t="s">
        <v>31</v>
      </c>
      <c r="D27" s="55">
        <f>D23-D24</f>
        <v>5</v>
      </c>
      <c r="E27" s="16"/>
      <c r="F27" s="16"/>
      <c r="G27" s="16"/>
      <c r="H27" s="16"/>
    </row>
    <row r="28" spans="2:8" ht="20.25">
      <c r="B28" s="33" t="s">
        <v>33</v>
      </c>
      <c r="C28" s="36" t="s">
        <v>27</v>
      </c>
      <c r="D28" s="62">
        <f>D26/D27</f>
        <v>2960.384</v>
      </c>
      <c r="E28" s="1"/>
      <c r="F28" s="1"/>
      <c r="G28" s="1"/>
      <c r="H28" s="1"/>
    </row>
    <row r="29" spans="2:8" ht="20.25">
      <c r="C29" s="16"/>
      <c r="D29" s="1"/>
      <c r="E29" s="1"/>
      <c r="F29" s="1"/>
      <c r="G29" s="1"/>
      <c r="H29" s="1"/>
    </row>
    <row r="30" spans="2:8" ht="20.25">
      <c r="B30" s="30" t="s">
        <v>36</v>
      </c>
      <c r="C30" s="25" t="s">
        <v>34</v>
      </c>
      <c r="D30" s="60"/>
      <c r="E30" s="1"/>
      <c r="F30" s="1"/>
      <c r="G30" s="1"/>
      <c r="H30" s="1"/>
    </row>
    <row r="31" spans="2:8" ht="20.25">
      <c r="B31" s="31" t="s">
        <v>35</v>
      </c>
      <c r="C31" s="26" t="s">
        <v>5</v>
      </c>
      <c r="D31" s="59" t="e">
        <f>D12/D30</f>
        <v>#DIV/0!</v>
      </c>
      <c r="E31" s="1"/>
      <c r="F31" s="1"/>
      <c r="G31" s="1"/>
      <c r="H31" s="1"/>
    </row>
    <row r="32" spans="2:8" ht="20.25">
      <c r="B32" s="31" t="s">
        <v>37</v>
      </c>
      <c r="C32" s="26" t="s">
        <v>34</v>
      </c>
      <c r="D32" s="58">
        <v>0.15</v>
      </c>
      <c r="E32" s="1"/>
      <c r="F32" s="1"/>
      <c r="G32" s="1"/>
      <c r="H32" s="1"/>
    </row>
    <row r="33" spans="2:8" ht="20.25">
      <c r="B33" s="31" t="s">
        <v>39</v>
      </c>
      <c r="C33" s="26" t="s">
        <v>38</v>
      </c>
      <c r="D33" s="58">
        <v>13</v>
      </c>
      <c r="E33" s="1"/>
      <c r="F33" s="1"/>
      <c r="G33" s="1"/>
      <c r="H33" s="1"/>
    </row>
    <row r="34" spans="2:8" ht="20.25">
      <c r="B34" s="31" t="s">
        <v>42</v>
      </c>
      <c r="C34" s="26" t="s">
        <v>34</v>
      </c>
      <c r="D34" s="55" t="e">
        <f>(D31/D32)*0.7</f>
        <v>#DIV/0!</v>
      </c>
      <c r="E34" s="1"/>
      <c r="F34" s="1"/>
      <c r="G34" s="1"/>
      <c r="H34" s="1"/>
    </row>
    <row r="35" spans="2:8" ht="20.25">
      <c r="B35" s="31" t="s">
        <v>40</v>
      </c>
      <c r="C35" s="26" t="s">
        <v>41</v>
      </c>
      <c r="D35" s="56" t="e">
        <f>D34*0.132*1.12</f>
        <v>#DIV/0!</v>
      </c>
      <c r="E35" s="1"/>
      <c r="F35" s="1"/>
      <c r="G35" s="1"/>
      <c r="H35" s="1"/>
    </row>
    <row r="36" spans="2:8" ht="20.25">
      <c r="B36" s="33" t="s">
        <v>43</v>
      </c>
      <c r="C36" s="36" t="s">
        <v>41</v>
      </c>
      <c r="D36" s="57">
        <f>E21*15</f>
        <v>6720</v>
      </c>
      <c r="E36" s="1"/>
      <c r="F36" s="1"/>
      <c r="G36" s="1"/>
      <c r="H36" s="1"/>
    </row>
    <row r="37" spans="2:8" ht="20.25">
      <c r="B37" s="1"/>
      <c r="C37" s="1"/>
      <c r="D37" s="1"/>
      <c r="E37" s="1"/>
      <c r="F37" s="1"/>
      <c r="G37" s="1"/>
      <c r="H37" s="1"/>
    </row>
    <row r="38" spans="2:8" ht="20.25">
      <c r="B38" s="34" t="s">
        <v>44</v>
      </c>
      <c r="C38" s="1"/>
      <c r="D38" s="1"/>
      <c r="E38" s="1"/>
      <c r="F38" s="1"/>
      <c r="G38" s="1"/>
      <c r="H38" s="1"/>
    </row>
    <row r="39" spans="2:8" ht="20.25">
      <c r="B39" s="30" t="s">
        <v>45</v>
      </c>
      <c r="C39" s="52" t="s">
        <v>47</v>
      </c>
      <c r="D39" s="52"/>
      <c r="E39" s="37"/>
      <c r="F39" s="1"/>
      <c r="G39" s="1"/>
      <c r="H39" s="1"/>
    </row>
    <row r="40" spans="2:8" ht="20.25">
      <c r="B40" s="31" t="s">
        <v>46</v>
      </c>
      <c r="C40" s="40" t="s">
        <v>48</v>
      </c>
      <c r="D40" s="51">
        <v>112</v>
      </c>
      <c r="E40" s="38"/>
      <c r="F40" s="1"/>
      <c r="G40" s="1"/>
      <c r="H40" s="1"/>
    </row>
    <row r="41" spans="2:8" ht="20.25">
      <c r="B41" s="31" t="s">
        <v>49</v>
      </c>
      <c r="C41" s="41" t="s">
        <v>27</v>
      </c>
      <c r="D41" s="47">
        <f>D40*1000*0.86/25</f>
        <v>3852.8</v>
      </c>
      <c r="E41" s="38"/>
      <c r="F41" s="1"/>
      <c r="G41" s="1"/>
      <c r="H41" s="1"/>
    </row>
    <row r="42" spans="2:8" ht="20.25">
      <c r="B42" s="31" t="s">
        <v>50</v>
      </c>
      <c r="C42" s="41" t="s">
        <v>38</v>
      </c>
      <c r="D42" s="48">
        <f>(D41/(2.826*1.2))^0.5</f>
        <v>33.706334845670682</v>
      </c>
      <c r="E42" s="53">
        <v>40</v>
      </c>
      <c r="F42" s="1"/>
      <c r="G42" s="1"/>
      <c r="H42" s="1"/>
    </row>
    <row r="43" spans="2:8" ht="20.25">
      <c r="B43" s="31" t="s">
        <v>51</v>
      </c>
      <c r="C43" s="41" t="s">
        <v>52</v>
      </c>
      <c r="D43" s="50">
        <v>4</v>
      </c>
      <c r="E43" s="38"/>
      <c r="F43" s="1"/>
      <c r="G43" s="1"/>
      <c r="H43" s="1"/>
    </row>
    <row r="44" spans="2:8" ht="20.25">
      <c r="B44" s="31" t="s">
        <v>60</v>
      </c>
      <c r="C44" s="41" t="s">
        <v>57</v>
      </c>
      <c r="D44" s="46">
        <f>D40*1000*0.86/9500</f>
        <v>10.138947368421052</v>
      </c>
      <c r="E44" s="39"/>
      <c r="F44" s="1"/>
      <c r="G44" s="1"/>
      <c r="H44" s="1"/>
    </row>
    <row r="45" spans="2:8" ht="20.25">
      <c r="B45" s="31" t="s">
        <v>61</v>
      </c>
      <c r="C45" s="41" t="s">
        <v>38</v>
      </c>
      <c r="D45" s="46">
        <f>(D44*1000/(2.826*5))^0.5</f>
        <v>26.787078684695881</v>
      </c>
      <c r="E45" s="32" t="s">
        <v>58</v>
      </c>
      <c r="F45" s="1"/>
      <c r="G45" s="1"/>
      <c r="H45" s="1"/>
    </row>
    <row r="46" spans="2:8" ht="20.25">
      <c r="B46" s="31" t="s">
        <v>53</v>
      </c>
      <c r="C46" s="41" t="s">
        <v>27</v>
      </c>
      <c r="D46" s="47">
        <f>D43*D41</f>
        <v>15411.2</v>
      </c>
      <c r="E46" s="38"/>
      <c r="F46" s="1"/>
      <c r="G46" s="1"/>
      <c r="H46" s="1"/>
    </row>
    <row r="47" spans="2:8" ht="20.25">
      <c r="B47" s="31" t="s">
        <v>54</v>
      </c>
      <c r="C47" s="41" t="s">
        <v>38</v>
      </c>
      <c r="D47" s="48">
        <f>(D46/(2.826*1.2))^0.5</f>
        <v>67.412669691341364</v>
      </c>
      <c r="E47" s="53">
        <v>65</v>
      </c>
      <c r="F47" s="1"/>
      <c r="G47" s="1"/>
      <c r="H47" s="1"/>
    </row>
    <row r="48" spans="2:8" ht="20.25">
      <c r="B48" s="31" t="s">
        <v>62</v>
      </c>
      <c r="C48" s="41" t="s">
        <v>57</v>
      </c>
      <c r="D48" s="46">
        <f>D44*4</f>
        <v>40.555789473684207</v>
      </c>
      <c r="E48" s="39"/>
      <c r="F48" s="1"/>
      <c r="G48" s="1"/>
      <c r="H48" s="1"/>
    </row>
    <row r="49" spans="2:8" ht="20.25">
      <c r="B49" s="31" t="s">
        <v>63</v>
      </c>
      <c r="C49" s="41" t="s">
        <v>38</v>
      </c>
      <c r="D49" s="46">
        <f>(D44*4*1000/(2.826*5))^0.5</f>
        <v>53.574157369391763</v>
      </c>
      <c r="E49" s="53" t="s">
        <v>59</v>
      </c>
      <c r="F49" s="1"/>
      <c r="G49" s="1"/>
      <c r="H49" s="1"/>
    </row>
    <row r="50" spans="2:8" ht="20.25">
      <c r="B50" s="31" t="s">
        <v>55</v>
      </c>
      <c r="C50" s="41" t="s">
        <v>38</v>
      </c>
      <c r="D50" s="47">
        <f>(D46/(2.826*0.5))^0.5</f>
        <v>104.43525881517864</v>
      </c>
      <c r="E50" s="53">
        <v>110</v>
      </c>
      <c r="F50" s="1"/>
      <c r="G50" s="1"/>
      <c r="H50" s="1"/>
    </row>
    <row r="51" spans="2:8" ht="20.25">
      <c r="B51" s="31" t="s">
        <v>56</v>
      </c>
      <c r="C51" s="41" t="s">
        <v>38</v>
      </c>
      <c r="D51" s="47">
        <f>(D46/(2.826*0.1))^0.5</f>
        <v>233.52433795852357</v>
      </c>
      <c r="E51" s="53">
        <v>250</v>
      </c>
      <c r="F51" s="1"/>
      <c r="G51" s="1"/>
      <c r="H51" s="1"/>
    </row>
    <row r="52" spans="2:8" ht="20.25">
      <c r="B52" s="33" t="s">
        <v>64</v>
      </c>
      <c r="C52" s="42" t="s">
        <v>41</v>
      </c>
      <c r="D52" s="49" t="e">
        <f>D35/100*3</f>
        <v>#DIV/0!</v>
      </c>
      <c r="E52" s="54" t="s">
        <v>65</v>
      </c>
      <c r="F52" s="1"/>
      <c r="G52" s="1"/>
      <c r="H52" s="1"/>
    </row>
    <row r="53" spans="2:8" ht="20.25">
      <c r="B53" s="1"/>
      <c r="C53" s="1"/>
      <c r="D53" s="1"/>
      <c r="E53" s="1"/>
      <c r="F53" s="1"/>
      <c r="G53" s="1"/>
      <c r="H53" s="1"/>
    </row>
    <row r="54" spans="2:8" ht="20.25">
      <c r="B54" s="1"/>
      <c r="C54" s="1"/>
      <c r="D54" s="1"/>
      <c r="E54" s="1"/>
      <c r="F54" s="1"/>
      <c r="G54" s="1"/>
      <c r="H54" s="1"/>
    </row>
    <row r="55" spans="2:8" ht="20.25">
      <c r="B55" s="1"/>
      <c r="C55" s="1"/>
      <c r="D55" s="35"/>
      <c r="E55" s="1"/>
      <c r="F55" s="1"/>
      <c r="G55" s="1"/>
      <c r="H55" s="1"/>
    </row>
    <row r="56" spans="2:8" ht="20.25">
      <c r="B56" s="1"/>
      <c r="C56" s="1"/>
      <c r="D56" s="1"/>
      <c r="E56" s="1"/>
      <c r="F56" s="1"/>
      <c r="G56" s="1"/>
      <c r="H56" s="1"/>
    </row>
    <row r="57" spans="2:8" ht="20.25">
      <c r="B57" s="1"/>
      <c r="C57" s="1"/>
      <c r="D57" s="1"/>
      <c r="E57" s="1"/>
      <c r="F57" s="1"/>
      <c r="G57" s="1"/>
      <c r="H57" s="1"/>
    </row>
    <row r="58" spans="2:8" ht="20.25">
      <c r="B58" s="1"/>
      <c r="C58" s="1"/>
      <c r="D58" s="1"/>
      <c r="E58" s="1"/>
      <c r="F58" s="1"/>
      <c r="G58" s="1"/>
      <c r="H58" s="1"/>
    </row>
    <row r="59" spans="2:8" ht="20.25">
      <c r="B59" s="1"/>
      <c r="C59" s="1"/>
      <c r="D59" s="1"/>
      <c r="E59" s="1"/>
      <c r="F59" s="1"/>
      <c r="G59" s="1"/>
      <c r="H59" s="1"/>
    </row>
  </sheetData>
  <sheetProtection password="F3B8" sheet="1" objects="1" scenarios="1" selectLockedCells="1"/>
  <mergeCells count="3">
    <mergeCell ref="C3:H3"/>
    <mergeCell ref="C4:H4"/>
    <mergeCell ref="C5:H5"/>
  </mergeCells>
  <pageMargins left="0.7" right="0.7" top="0.75" bottom="0.75" header="0.3" footer="0.3"/>
  <pageSetup paperSize="9" scale="53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2025-06-10T15:15:26Z</dcterms:created>
  <dcterms:modified xsi:type="dcterms:W3CDTF">2025-06-13T11:37:07Z</dcterms:modified>
</cp:coreProperties>
</file>